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jpeg" ContentType="image/jpeg"/>
  <Override PartName="/xl/charts/chart2.xml" ContentType="application/vnd.openxmlformats-officedocument.drawingml.char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0605" windowHeight="71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14210"/>
</workbook>
</file>

<file path=xl/calcChain.xml><?xml version="1.0" encoding="utf-8"?>
<calcChain xmlns="http://schemas.openxmlformats.org/spreadsheetml/2006/main">
  <c r="N85" i="1"/>
  <c r="N86"/>
  <c r="N84"/>
  <c r="Q85"/>
  <c r="M69"/>
  <c r="Q86"/>
  <c r="M70"/>
  <c r="Q84"/>
  <c r="M68"/>
  <c r="P85"/>
  <c r="L69"/>
  <c r="P86"/>
  <c r="L70"/>
  <c r="P84"/>
  <c r="L68"/>
  <c r="K69"/>
  <c r="K70"/>
  <c r="K68"/>
  <c r="L86"/>
  <c r="L85"/>
  <c r="L84"/>
  <c r="G28"/>
  <c r="G33"/>
  <c r="G53"/>
  <c r="C28"/>
  <c r="C33"/>
  <c r="C53"/>
  <c r="K22"/>
  <c r="M22"/>
  <c r="K21"/>
  <c r="M21"/>
  <c r="G34"/>
  <c r="G31"/>
  <c r="C19"/>
  <c r="G29"/>
  <c r="G32"/>
  <c r="C14"/>
  <c r="C23"/>
  <c r="C22"/>
  <c r="G30"/>
  <c r="C20"/>
  <c r="G35"/>
  <c r="G41"/>
  <c r="G42"/>
  <c r="G43"/>
  <c r="G44"/>
  <c r="G45"/>
  <c r="G51"/>
  <c r="G52"/>
  <c r="E57"/>
  <c r="C57"/>
  <c r="K67"/>
  <c r="K66"/>
  <c r="M67"/>
  <c r="C34"/>
  <c r="C31"/>
  <c r="C29"/>
  <c r="C32"/>
  <c r="C30"/>
  <c r="C35"/>
  <c r="C41"/>
  <c r="C42"/>
  <c r="C43"/>
  <c r="C44"/>
  <c r="C45"/>
  <c r="C51"/>
  <c r="C52"/>
  <c r="E56"/>
  <c r="M66"/>
  <c r="L67"/>
  <c r="C56"/>
  <c r="L66"/>
</calcChain>
</file>

<file path=xl/sharedStrings.xml><?xml version="1.0" encoding="utf-8"?>
<sst xmlns="http://schemas.openxmlformats.org/spreadsheetml/2006/main" count="137" uniqueCount="83">
  <si>
    <t>Parameter</t>
  </si>
  <si>
    <t>Wind Azimuth</t>
  </si>
  <si>
    <t>Odometer reading</t>
  </si>
  <si>
    <t>deg</t>
  </si>
  <si>
    <t>Measured Inputs</t>
  </si>
  <si>
    <t>Altitude 1</t>
  </si>
  <si>
    <t>Altitude 2</t>
  </si>
  <si>
    <t>value</t>
  </si>
  <si>
    <t>Wind Azimuth, deg</t>
  </si>
  <si>
    <t>Balloon Elevation Angle, deg</t>
  </si>
  <si>
    <t>Wind Velocity Calculator</t>
  </si>
  <si>
    <t>Pibal Diameter</t>
  </si>
  <si>
    <t>Pibal Empty Weight</t>
  </si>
  <si>
    <t>Gas Atomic Weight</t>
  </si>
  <si>
    <t>Tether Length</t>
  </si>
  <si>
    <t>Pibal Volume</t>
  </si>
  <si>
    <t>ft</t>
  </si>
  <si>
    <t>lb</t>
  </si>
  <si>
    <t>ft^3</t>
  </si>
  <si>
    <t>g/mol</t>
  </si>
  <si>
    <t>Gas Weight</t>
  </si>
  <si>
    <t>Moles of gas</t>
  </si>
  <si>
    <t>Ground Temp</t>
  </si>
  <si>
    <t>Air Pressure (ground)</t>
  </si>
  <si>
    <t>K</t>
  </si>
  <si>
    <t>Pa</t>
  </si>
  <si>
    <t>F</t>
  </si>
  <si>
    <t>Gravity</t>
  </si>
  <si>
    <t>ft/s^2</t>
  </si>
  <si>
    <t>Pibal Drag Coefficient</t>
  </si>
  <si>
    <t>Reference Area</t>
  </si>
  <si>
    <r>
      <rPr>
        <sz val="11"/>
        <color theme="1"/>
        <rFont val="Calibri"/>
        <family val="2"/>
        <scheme val="minor"/>
      </rPr>
      <t>Ground Temperatur</t>
    </r>
    <r>
      <rPr>
        <b/>
        <sz val="11"/>
        <color indexed="8"/>
        <rFont val="Calibri"/>
        <family val="2"/>
      </rPr>
      <t>e</t>
    </r>
  </si>
  <si>
    <t>Buoyant Force</t>
  </si>
  <si>
    <t>Total Weight</t>
  </si>
  <si>
    <t>Air Density</t>
  </si>
  <si>
    <t>Tether Weight</t>
  </si>
  <si>
    <t>Pibal Elevation(AGL)</t>
  </si>
  <si>
    <t>Pibal Elevation(MSL)</t>
  </si>
  <si>
    <t>slug/ft^3</t>
  </si>
  <si>
    <t>Tether diameter</t>
  </si>
  <si>
    <t>in</t>
  </si>
  <si>
    <t>lbs</t>
  </si>
  <si>
    <t>Balloon Launch Altitude (MSL), ft</t>
  </si>
  <si>
    <t>ft/s</t>
  </si>
  <si>
    <t xml:space="preserve">Wind Velocity </t>
  </si>
  <si>
    <t>Tether Drag Coefficient</t>
  </si>
  <si>
    <t>a</t>
  </si>
  <si>
    <t>b</t>
  </si>
  <si>
    <t>c</t>
  </si>
  <si>
    <t>d</t>
  </si>
  <si>
    <t xml:space="preserve">total correction </t>
  </si>
  <si>
    <t>Corrected Wind Velocity</t>
  </si>
  <si>
    <t>Low Altitude Wind</t>
  </si>
  <si>
    <t>High Altitude Wind</t>
  </si>
  <si>
    <t>North</t>
  </si>
  <si>
    <t>East</t>
  </si>
  <si>
    <t>Wind Speed</t>
  </si>
  <si>
    <t>Altitude</t>
  </si>
  <si>
    <t>Low Alt</t>
  </si>
  <si>
    <t>High Alt</t>
  </si>
  <si>
    <t>Air density (slug/ft^3)</t>
  </si>
  <si>
    <t>Altitude, ft</t>
  </si>
  <si>
    <t>Wind in North-South &amp; East-West components</t>
  </si>
  <si>
    <t>Altitude, ft AGL</t>
  </si>
  <si>
    <t>Desired Balloon Altitude, ft</t>
  </si>
  <si>
    <t>Target Odometer Reading</t>
  </si>
  <si>
    <t>Target Odometer Readings</t>
  </si>
  <si>
    <t>Wind Inertial Components Calculator</t>
  </si>
  <si>
    <t>Bias Error 1</t>
  </si>
  <si>
    <t>Bias Error 2</t>
  </si>
  <si>
    <t>Altitude, AGL</t>
  </si>
  <si>
    <t>Bias Correction Model</t>
  </si>
  <si>
    <t>Plot File</t>
  </si>
  <si>
    <t>Altitude, ft MSL</t>
  </si>
  <si>
    <t>Wind Speed, ft/sec</t>
  </si>
  <si>
    <t>Azimuth, deg from North</t>
  </si>
  <si>
    <t>N-S Wind, ft/sec</t>
  </si>
  <si>
    <t>E-W Wind, ft/sec</t>
  </si>
  <si>
    <t>E-W Wind</t>
  </si>
  <si>
    <t>N-S Wind</t>
  </si>
  <si>
    <t>ft/sec</t>
  </si>
  <si>
    <t>Wind Speed, miles/hour</t>
  </si>
  <si>
    <t>Winds and Temperatures Aloft - Air Sports Net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</si>
</sst>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6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8"/>
      <color indexed="8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3" fillId="0" borderId="0" xfId="0" applyFont="1" applyFill="1"/>
    <xf numFmtId="0" fontId="3" fillId="0" borderId="0" xfId="0" applyFont="1" applyFill="1" applyBorder="1"/>
    <xf numFmtId="0" fontId="0" fillId="0" borderId="0" xfId="0" applyFill="1" applyBorder="1"/>
    <xf numFmtId="2" fontId="0" fillId="0" borderId="0" xfId="0" applyNumberFormat="1"/>
    <xf numFmtId="0" fontId="0" fillId="0" borderId="1" xfId="0" applyFont="1" applyBorder="1"/>
    <xf numFmtId="164" fontId="0" fillId="0" borderId="1" xfId="0" applyNumberFormat="1" applyBorder="1"/>
    <xf numFmtId="0" fontId="0" fillId="0" borderId="1" xfId="0" applyFont="1" applyFill="1" applyBorder="1"/>
    <xf numFmtId="2" fontId="0" fillId="0" borderId="1" xfId="0" applyNumberFormat="1" applyBorder="1"/>
    <xf numFmtId="0" fontId="0" fillId="0" borderId="0" xfId="0" applyBorder="1"/>
    <xf numFmtId="2" fontId="0" fillId="0" borderId="1" xfId="0" applyNumberFormat="1" applyFill="1" applyBorder="1"/>
    <xf numFmtId="0" fontId="1" fillId="0" borderId="1" xfId="0" applyFont="1" applyBorder="1"/>
    <xf numFmtId="165" fontId="0" fillId="0" borderId="1" xfId="0" applyNumberFormat="1" applyBorder="1"/>
    <xf numFmtId="166" fontId="0" fillId="0" borderId="1" xfId="0" applyNumberFormat="1" applyBorder="1"/>
    <xf numFmtId="0" fontId="4" fillId="0" borderId="0" xfId="0" applyFont="1"/>
    <xf numFmtId="167" fontId="0" fillId="0" borderId="1" xfId="0" applyNumberFormat="1" applyBorder="1"/>
    <xf numFmtId="2" fontId="0" fillId="0" borderId="0" xfId="0" applyNumberFormat="1" applyBorder="1"/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2" xfId="0" applyNumberFormat="1" applyFill="1" applyBorder="1"/>
    <xf numFmtId="0" fontId="0" fillId="2" borderId="1" xfId="0" applyFill="1" applyBorder="1"/>
    <xf numFmtId="3" fontId="0" fillId="2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164" fontId="0" fillId="0" borderId="0" xfId="0" applyNumberFormat="1"/>
    <xf numFmtId="0" fontId="0" fillId="4" borderId="1" xfId="0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/>
    <xf numFmtId="164" fontId="0" fillId="3" borderId="1" xfId="0" applyNumberFormat="1" applyFill="1" applyBorder="1"/>
    <xf numFmtId="0" fontId="0" fillId="0" borderId="0" xfId="0" applyAlignment="1">
      <alignment horizontal="center"/>
    </xf>
    <xf numFmtId="3" fontId="0" fillId="5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Tether Odometer Calibration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099707590013499"/>
          <c:y val="9.6292197011621478E-2"/>
          <c:w val="0.60916252369002644"/>
          <c:h val="0.78361925843940283"/>
        </c:manualLayout>
      </c:layout>
      <c:scatterChart>
        <c:scatterStyle val="lineMarker"/>
        <c:ser>
          <c:idx val="0"/>
          <c:order val="0"/>
          <c:tx>
            <c:v>Tether Length</c:v>
          </c:tx>
          <c:spPr>
            <a:ln w="28575">
              <a:solidFill>
                <a:schemeClr val="accent1"/>
              </a:solidFill>
            </a:ln>
          </c:spPr>
          <c:marker>
            <c:symbol val="diamond"/>
            <c:size val="5"/>
          </c:marker>
          <c:trendline>
            <c:trendlineType val="poly"/>
            <c:order val="2"/>
            <c:dispRSqr val="1"/>
            <c:dispEq val="1"/>
            <c:trendlineLbl>
              <c:layout>
                <c:manualLayout>
                  <c:xMode val="edge"/>
                  <c:yMode val="edge"/>
                  <c:x val="0.18054047750601851"/>
                  <c:y val="0.20820760410380204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[1]Sheet1!$B$2:$B$27</c:f>
              <c:numCache>
                <c:formatCode>General</c:formatCode>
                <c:ptCount val="26"/>
                <c:pt idx="0">
                  <c:v>0.11</c:v>
                </c:pt>
                <c:pt idx="1">
                  <c:v>0.21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0.81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1.22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1.89</c:v>
                </c:pt>
                <c:pt idx="20">
                  <c:v>2</c:v>
                </c:pt>
                <c:pt idx="21">
                  <c:v>2.1</c:v>
                </c:pt>
                <c:pt idx="22">
                  <c:v>2.21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2.4500000000000002</c:v>
                </c:pt>
              </c:numCache>
            </c:numRef>
          </c:xVal>
          <c:yVal>
            <c:numRef>
              <c:f>[1]Sheet1!$G$2:$G$27</c:f>
              <c:numCache>
                <c:formatCode>General</c:formatCode>
                <c:ptCount val="26"/>
                <c:pt idx="0">
                  <c:v>40.333333333333336</c:v>
                </c:pt>
                <c:pt idx="1">
                  <c:v>75</c:v>
                </c:pt>
                <c:pt idx="2">
                  <c:v>107.91666666666667</c:v>
                </c:pt>
                <c:pt idx="3">
                  <c:v>144.25</c:v>
                </c:pt>
                <c:pt idx="4">
                  <c:v>180.5</c:v>
                </c:pt>
                <c:pt idx="5">
                  <c:v>212.41666666666666</c:v>
                </c:pt>
                <c:pt idx="6">
                  <c:v>250.58333333333334</c:v>
                </c:pt>
                <c:pt idx="7">
                  <c:v>286.75</c:v>
                </c:pt>
                <c:pt idx="8">
                  <c:v>317.83333333333331</c:v>
                </c:pt>
                <c:pt idx="9">
                  <c:v>352.75</c:v>
                </c:pt>
                <c:pt idx="10">
                  <c:v>385.16666666666669</c:v>
                </c:pt>
                <c:pt idx="11">
                  <c:v>418.33333333333331</c:v>
                </c:pt>
                <c:pt idx="12">
                  <c:v>426.08333333333331</c:v>
                </c:pt>
                <c:pt idx="13">
                  <c:v>447.08333333333331</c:v>
                </c:pt>
                <c:pt idx="14">
                  <c:v>480.08333333333331</c:v>
                </c:pt>
                <c:pt idx="15">
                  <c:v>513.16666666666663</c:v>
                </c:pt>
                <c:pt idx="16">
                  <c:v>546.25</c:v>
                </c:pt>
                <c:pt idx="17">
                  <c:v>577.58333333333337</c:v>
                </c:pt>
                <c:pt idx="18">
                  <c:v>610.91666666666663</c:v>
                </c:pt>
                <c:pt idx="19">
                  <c:v>638.66666666666663</c:v>
                </c:pt>
                <c:pt idx="20">
                  <c:v>674.41666666666663</c:v>
                </c:pt>
                <c:pt idx="21">
                  <c:v>705.66666666666663</c:v>
                </c:pt>
                <c:pt idx="22">
                  <c:v>740.66666666666663</c:v>
                </c:pt>
                <c:pt idx="23">
                  <c:v>770</c:v>
                </c:pt>
                <c:pt idx="24">
                  <c:v>800.75</c:v>
                </c:pt>
                <c:pt idx="25">
                  <c:v>815.41666666666663</c:v>
                </c:pt>
              </c:numCache>
            </c:numRef>
          </c:yVal>
        </c:ser>
        <c:axId val="69612672"/>
        <c:axId val="69614592"/>
      </c:scatterChart>
      <c:valAx>
        <c:axId val="69612672"/>
        <c:scaling>
          <c:orientation val="minMax"/>
        </c:scaling>
        <c:axPos val="b"/>
        <c:min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Odometer Reading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614592"/>
        <c:crosses val="autoZero"/>
        <c:crossBetween val="midCat"/>
      </c:valAx>
      <c:valAx>
        <c:axId val="69614592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Length (feet)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6126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772977497593364"/>
          <c:y val="0.48976203652462647"/>
          <c:w val="0.21010160795382693"/>
          <c:h val="0.1344770337576093"/>
        </c:manualLayout>
      </c:layout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Wind Proifile</a:t>
            </a:r>
          </a:p>
        </c:rich>
      </c:tx>
      <c:layout>
        <c:manualLayout>
          <c:xMode val="edge"/>
          <c:yMode val="edge"/>
          <c:x val="0.41127856868894253"/>
          <c:y val="3.095073380728071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959163830821595"/>
          <c:y val="0.17464996315401621"/>
          <c:w val="0.61545940690325762"/>
          <c:h val="0.63448784082534959"/>
        </c:manualLayout>
      </c:layout>
      <c:scatterChart>
        <c:scatterStyle val="lineMarker"/>
        <c:ser>
          <c:idx val="0"/>
          <c:order val="0"/>
          <c:tx>
            <c:strRef>
              <c:f>Sheet1!$L$64</c:f>
              <c:strCache>
                <c:ptCount val="1"/>
                <c:pt idx="0">
                  <c:v>N-S Wind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Sheet1!$K$65:$K$70</c:f>
              <c:numCache>
                <c:formatCode>0.0</c:formatCode>
                <c:ptCount val="6"/>
                <c:pt idx="0" formatCode="General">
                  <c:v>0</c:v>
                </c:pt>
                <c:pt idx="1">
                  <c:v>121.03122427086731</c:v>
                </c:pt>
                <c:pt idx="2">
                  <c:v>349.44498679289558</c:v>
                </c:pt>
                <c:pt idx="3" formatCode="General">
                  <c:v>18000</c:v>
                </c:pt>
                <c:pt idx="4" formatCode="General">
                  <c:v>24000</c:v>
                </c:pt>
                <c:pt idx="5" formatCode="General">
                  <c:v>30000</c:v>
                </c:pt>
              </c:numCache>
            </c:numRef>
          </c:xVal>
          <c:yVal>
            <c:numRef>
              <c:f>Sheet1!$L$65:$L$70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7.5445099485551124</c:v>
                </c:pt>
                <c:pt idx="2">
                  <c:v>13.869909315991249</c:v>
                </c:pt>
                <c:pt idx="3">
                  <c:v>31.112684230072471</c:v>
                </c:pt>
                <c:pt idx="4">
                  <c:v>41.483578973429957</c:v>
                </c:pt>
                <c:pt idx="5">
                  <c:v>25.081465776544274</c:v>
                </c:pt>
              </c:numCache>
            </c:numRef>
          </c:yVal>
        </c:ser>
        <c:ser>
          <c:idx val="1"/>
          <c:order val="1"/>
          <c:tx>
            <c:strRef>
              <c:f>Sheet1!$M$64</c:f>
              <c:strCache>
                <c:ptCount val="1"/>
                <c:pt idx="0">
                  <c:v>E-W Wind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Sheet1!$K$65:$K$70</c:f>
              <c:numCache>
                <c:formatCode>0.0</c:formatCode>
                <c:ptCount val="6"/>
                <c:pt idx="0" formatCode="General">
                  <c:v>0</c:v>
                </c:pt>
                <c:pt idx="1">
                  <c:v>121.03122427086731</c:v>
                </c:pt>
                <c:pt idx="2">
                  <c:v>349.44498679289558</c:v>
                </c:pt>
                <c:pt idx="3" formatCode="General">
                  <c:v>18000</c:v>
                </c:pt>
                <c:pt idx="4" formatCode="General">
                  <c:v>24000</c:v>
                </c:pt>
                <c:pt idx="5" formatCode="General">
                  <c:v>30000</c:v>
                </c:pt>
              </c:numCache>
            </c:numRef>
          </c:xVal>
          <c:yVal>
            <c:numRef>
              <c:f>Sheet1!$M$65:$M$70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6.3305955152459141</c:v>
                </c:pt>
                <c:pt idx="2" formatCode="General">
                  <c:v>8.0077958772232432</c:v>
                </c:pt>
                <c:pt idx="3" formatCode="General">
                  <c:v>31.112684230072464</c:v>
                </c:pt>
                <c:pt idx="4" formatCode="General">
                  <c:v>41.483578973429957</c:v>
                </c:pt>
                <c:pt idx="5" formatCode="General">
                  <c:v>68.910760867879262</c:v>
                </c:pt>
              </c:numCache>
            </c:numRef>
          </c:yVal>
        </c:ser>
        <c:axId val="69639552"/>
        <c:axId val="69645824"/>
      </c:scatterChart>
      <c:valAx>
        <c:axId val="69639552"/>
        <c:scaling>
          <c:orientation val="minMax"/>
          <c:max val="3000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Altitude, ft AGL</a:t>
                </a:r>
              </a:p>
            </c:rich>
          </c:tx>
          <c:layout>
            <c:manualLayout>
              <c:xMode val="edge"/>
              <c:yMode val="edge"/>
              <c:x val="0.32377245824214668"/>
              <c:y val="0.8953575173964182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45824"/>
        <c:crosses val="autoZero"/>
        <c:crossBetween val="midCat"/>
      </c:valAx>
      <c:valAx>
        <c:axId val="69645824"/>
        <c:scaling>
          <c:orientation val="minMax"/>
          <c:max val="8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Wind Speed, ft/sec</a:t>
                </a:r>
              </a:p>
            </c:rich>
          </c:tx>
          <c:layout>
            <c:manualLayout>
              <c:xMode val="edge"/>
              <c:yMode val="edge"/>
              <c:x val="2.3334912648812881E-2"/>
              <c:y val="0.2962416783994715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395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665878699368863"/>
          <c:y val="0.42446573323507736"/>
          <c:w val="0.19630647325707712"/>
          <c:h val="0.1348563006632277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33</xdr:row>
      <xdr:rowOff>9525</xdr:rowOff>
    </xdr:from>
    <xdr:to>
      <xdr:col>16</xdr:col>
      <xdr:colOff>1066800</xdr:colOff>
      <xdr:row>45</xdr:row>
      <xdr:rowOff>19050</xdr:rowOff>
    </xdr:to>
    <xdr:pic>
      <xdr:nvPicPr>
        <xdr:cNvPr id="1029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77925" y="7077075"/>
          <a:ext cx="4762500" cy="2447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24</xdr:col>
      <xdr:colOff>609600</xdr:colOff>
      <xdr:row>29</xdr:row>
      <xdr:rowOff>161925</xdr:rowOff>
    </xdr:to>
    <xdr:graphicFrame macro="">
      <xdr:nvGraphicFramePr>
        <xdr:cNvPr id="103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990600</xdr:colOff>
      <xdr:row>61</xdr:row>
      <xdr:rowOff>0</xdr:rowOff>
    </xdr:from>
    <xdr:to>
      <xdr:col>6</xdr:col>
      <xdr:colOff>876300</xdr:colOff>
      <xdr:row>82</xdr:row>
      <xdr:rowOff>161925</xdr:rowOff>
    </xdr:to>
    <xdr:graphicFrame macro="">
      <xdr:nvGraphicFramePr>
        <xdr:cNvPr id="1031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Elvy\Downloads\TetherCalibration_1.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>
            <v>0.11</v>
          </cell>
          <cell r="G2">
            <v>40.333333333333336</v>
          </cell>
        </row>
        <row r="3">
          <cell r="B3">
            <v>0.21</v>
          </cell>
          <cell r="G3">
            <v>75</v>
          </cell>
        </row>
        <row r="4">
          <cell r="B4">
            <v>0.3</v>
          </cell>
          <cell r="G4">
            <v>107.91666666666667</v>
          </cell>
        </row>
        <row r="5">
          <cell r="B5">
            <v>0.4</v>
          </cell>
          <cell r="G5">
            <v>144.25</v>
          </cell>
        </row>
        <row r="6">
          <cell r="B6">
            <v>0.5</v>
          </cell>
          <cell r="G6">
            <v>180.5</v>
          </cell>
        </row>
        <row r="7">
          <cell r="B7">
            <v>0.6</v>
          </cell>
          <cell r="G7">
            <v>212.41666666666666</v>
          </cell>
        </row>
        <row r="8">
          <cell r="B8">
            <v>0.7</v>
          </cell>
          <cell r="G8">
            <v>250.58333333333334</v>
          </cell>
        </row>
        <row r="9">
          <cell r="B9">
            <v>0.81</v>
          </cell>
          <cell r="G9">
            <v>286.75</v>
          </cell>
        </row>
        <row r="10">
          <cell r="B10">
            <v>0.9</v>
          </cell>
          <cell r="G10">
            <v>317.83333333333331</v>
          </cell>
        </row>
        <row r="11">
          <cell r="B11">
            <v>1</v>
          </cell>
          <cell r="G11">
            <v>352.75</v>
          </cell>
        </row>
        <row r="12">
          <cell r="B12">
            <v>1.1000000000000001</v>
          </cell>
          <cell r="G12">
            <v>385.16666666666669</v>
          </cell>
        </row>
        <row r="13">
          <cell r="B13">
            <v>1.2</v>
          </cell>
          <cell r="G13">
            <v>418.33333333333331</v>
          </cell>
        </row>
        <row r="14">
          <cell r="B14">
            <v>1.22</v>
          </cell>
          <cell r="G14">
            <v>426.08333333333331</v>
          </cell>
        </row>
        <row r="15">
          <cell r="B15">
            <v>1.3</v>
          </cell>
          <cell r="G15">
            <v>447.08333333333331</v>
          </cell>
        </row>
        <row r="16">
          <cell r="B16">
            <v>1.4</v>
          </cell>
          <cell r="G16">
            <v>480.08333333333331</v>
          </cell>
        </row>
        <row r="17">
          <cell r="B17">
            <v>1.5</v>
          </cell>
          <cell r="G17">
            <v>513.16666666666663</v>
          </cell>
        </row>
        <row r="18">
          <cell r="B18">
            <v>1.6</v>
          </cell>
          <cell r="G18">
            <v>546.25</v>
          </cell>
        </row>
        <row r="19">
          <cell r="B19">
            <v>1.7</v>
          </cell>
          <cell r="G19">
            <v>577.58333333333337</v>
          </cell>
        </row>
        <row r="20">
          <cell r="B20">
            <v>1.8</v>
          </cell>
          <cell r="G20">
            <v>610.91666666666663</v>
          </cell>
        </row>
        <row r="21">
          <cell r="B21">
            <v>1.89</v>
          </cell>
          <cell r="G21">
            <v>638.66666666666663</v>
          </cell>
        </row>
        <row r="22">
          <cell r="B22">
            <v>2</v>
          </cell>
          <cell r="G22">
            <v>674.41666666666663</v>
          </cell>
        </row>
        <row r="23">
          <cell r="B23">
            <v>2.1</v>
          </cell>
          <cell r="G23">
            <v>705.66666666666663</v>
          </cell>
        </row>
        <row r="24">
          <cell r="B24">
            <v>2.21</v>
          </cell>
          <cell r="G24">
            <v>740.66666666666663</v>
          </cell>
        </row>
        <row r="25">
          <cell r="B25">
            <v>2.2999999999999998</v>
          </cell>
          <cell r="G25">
            <v>770</v>
          </cell>
        </row>
        <row r="26">
          <cell r="B26">
            <v>2.4</v>
          </cell>
          <cell r="G26">
            <v>800.75</v>
          </cell>
        </row>
        <row r="27">
          <cell r="B27">
            <v>2.4500000000000002</v>
          </cell>
          <cell r="G27">
            <v>815.41666666666663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4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86"/>
  <sheetViews>
    <sheetView tabSelected="1" topLeftCell="A56" zoomScale="90" zoomScaleNormal="90" workbookViewId="0">
      <selection activeCell="M91" sqref="M91"/>
    </sheetView>
  </sheetViews>
  <sheetFormatPr defaultRowHeight="15"/>
  <cols>
    <col min="2" max="2" width="29.85546875" customWidth="1"/>
    <col min="3" max="3" width="17.7109375" customWidth="1"/>
    <col min="4" max="4" width="16.5703125" customWidth="1"/>
    <col min="5" max="5" width="11.42578125" customWidth="1"/>
    <col min="6" max="6" width="25.85546875" customWidth="1"/>
    <col min="7" max="7" width="13.28515625" customWidth="1"/>
    <col min="8" max="8" width="11.85546875" customWidth="1"/>
    <col min="9" max="9" width="10.85546875" customWidth="1"/>
    <col min="10" max="10" width="11.7109375" customWidth="1"/>
    <col min="11" max="11" width="16.42578125" customWidth="1"/>
    <col min="12" max="12" width="15.85546875" customWidth="1"/>
    <col min="13" max="13" width="17.5703125" customWidth="1"/>
    <col min="14" max="14" width="19.28515625" customWidth="1"/>
    <col min="15" max="15" width="18.5703125" customWidth="1"/>
    <col min="16" max="16" width="17.5703125" customWidth="1"/>
    <col min="17" max="17" width="16.85546875" customWidth="1"/>
  </cols>
  <sheetData>
    <row r="2" spans="1:14" ht="21">
      <c r="B2" s="18" t="s">
        <v>4</v>
      </c>
    </row>
    <row r="3" spans="1:14" ht="21">
      <c r="B3" s="18" t="s">
        <v>5</v>
      </c>
      <c r="F3" s="18" t="s">
        <v>6</v>
      </c>
    </row>
    <row r="4" spans="1:14" ht="30">
      <c r="B4" s="33" t="s">
        <v>0</v>
      </c>
      <c r="C4" s="34" t="s">
        <v>7</v>
      </c>
      <c r="D4" s="6"/>
      <c r="E4" s="5"/>
      <c r="F4" s="34" t="s">
        <v>0</v>
      </c>
      <c r="G4" s="34" t="s">
        <v>7</v>
      </c>
      <c r="M4" s="39" t="s">
        <v>61</v>
      </c>
      <c r="N4" s="31" t="s">
        <v>60</v>
      </c>
    </row>
    <row r="5" spans="1:14">
      <c r="B5" s="3" t="s">
        <v>8</v>
      </c>
      <c r="C5" s="26">
        <v>40</v>
      </c>
      <c r="D5" s="7" t="s">
        <v>3</v>
      </c>
      <c r="E5" s="4"/>
      <c r="F5" s="3" t="s">
        <v>8</v>
      </c>
      <c r="G5" s="26">
        <v>30</v>
      </c>
      <c r="H5" t="s">
        <v>3</v>
      </c>
      <c r="M5" s="21">
        <v>0</v>
      </c>
      <c r="N5" s="21">
        <v>2.3770000000000002E-3</v>
      </c>
    </row>
    <row r="6" spans="1:14">
      <c r="B6" s="3" t="s">
        <v>9</v>
      </c>
      <c r="C6" s="26">
        <v>50</v>
      </c>
      <c r="D6" s="7" t="s">
        <v>3</v>
      </c>
      <c r="E6" s="4"/>
      <c r="F6" s="3" t="s">
        <v>9</v>
      </c>
      <c r="G6" s="26">
        <v>20</v>
      </c>
      <c r="H6" t="s">
        <v>3</v>
      </c>
      <c r="M6" s="22">
        <v>1000</v>
      </c>
      <c r="N6" s="21">
        <v>2.3080000000000002E-3</v>
      </c>
    </row>
    <row r="7" spans="1:14">
      <c r="B7" s="3" t="s">
        <v>2</v>
      </c>
      <c r="C7" s="26">
        <v>0.44</v>
      </c>
      <c r="D7" s="7"/>
      <c r="E7" s="4"/>
      <c r="F7" s="3" t="s">
        <v>2</v>
      </c>
      <c r="G7" s="26">
        <v>3.15</v>
      </c>
      <c r="M7" s="22">
        <v>2000</v>
      </c>
      <c r="N7" s="21">
        <v>2.2409999999999999E-3</v>
      </c>
    </row>
    <row r="8" spans="1:14">
      <c r="A8" s="13"/>
      <c r="B8" s="7"/>
      <c r="C8" s="7"/>
      <c r="D8" s="7"/>
      <c r="E8" s="4"/>
      <c r="F8" s="7"/>
      <c r="G8" s="7"/>
      <c r="M8" s="22">
        <v>3000</v>
      </c>
      <c r="N8" s="21">
        <v>2.1749999999999999E-3</v>
      </c>
    </row>
    <row r="9" spans="1:14">
      <c r="B9" s="3" t="s">
        <v>42</v>
      </c>
      <c r="C9" s="27">
        <v>4078</v>
      </c>
      <c r="D9" s="7" t="s">
        <v>16</v>
      </c>
      <c r="E9" s="7"/>
      <c r="F9" s="7"/>
      <c r="G9" s="7"/>
      <c r="H9" s="13"/>
      <c r="M9" s="22">
        <v>4000</v>
      </c>
      <c r="N9" s="21">
        <v>2.111E-3</v>
      </c>
    </row>
    <row r="10" spans="1:14">
      <c r="B10" s="15" t="s">
        <v>31</v>
      </c>
      <c r="C10" s="26">
        <v>64</v>
      </c>
      <c r="D10" s="7" t="s">
        <v>26</v>
      </c>
      <c r="M10" s="22">
        <v>5000</v>
      </c>
      <c r="N10" s="21">
        <v>2.0479999999999999E-3</v>
      </c>
    </row>
    <row r="11" spans="1:14">
      <c r="M11" s="23">
        <v>6000</v>
      </c>
      <c r="N11" s="21">
        <v>1.9870000000000001E-3</v>
      </c>
    </row>
    <row r="12" spans="1:14" ht="21">
      <c r="B12" s="18" t="s">
        <v>10</v>
      </c>
      <c r="M12" s="23">
        <v>7000</v>
      </c>
      <c r="N12" s="21">
        <v>1.9269999999999999E-3</v>
      </c>
    </row>
    <row r="13" spans="1:14">
      <c r="B13" s="1"/>
      <c r="M13" s="23">
        <v>8000</v>
      </c>
      <c r="N13" s="21">
        <v>1.869E-3</v>
      </c>
    </row>
    <row r="14" spans="1:14">
      <c r="B14" s="9" t="s">
        <v>22</v>
      </c>
      <c r="C14" s="10">
        <f>(C10-32)/1.8+273.15</f>
        <v>290.92777777777775</v>
      </c>
      <c r="D14" t="s">
        <v>24</v>
      </c>
      <c r="M14" s="23">
        <v>9000</v>
      </c>
      <c r="N14" s="21">
        <v>1.8109999999999999E-3</v>
      </c>
    </row>
    <row r="15" spans="1:14">
      <c r="B15" s="9" t="s">
        <v>23</v>
      </c>
      <c r="C15" s="26">
        <v>101352.93</v>
      </c>
      <c r="D15" t="s">
        <v>25</v>
      </c>
      <c r="M15" s="23">
        <v>10000</v>
      </c>
      <c r="N15" s="21">
        <v>1.756E-3</v>
      </c>
    </row>
    <row r="16" spans="1:14">
      <c r="B16" s="9" t="s">
        <v>27</v>
      </c>
      <c r="C16" s="26">
        <v>32.159999999999997</v>
      </c>
      <c r="D16" t="s">
        <v>28</v>
      </c>
    </row>
    <row r="17" spans="2:13">
      <c r="B17" s="11" t="s">
        <v>11</v>
      </c>
      <c r="C17" s="26">
        <v>3</v>
      </c>
      <c r="D17" t="s">
        <v>16</v>
      </c>
    </row>
    <row r="18" spans="2:13" ht="21">
      <c r="B18" s="11" t="s">
        <v>12</v>
      </c>
      <c r="C18" s="26">
        <v>0.223</v>
      </c>
      <c r="D18" t="s">
        <v>17</v>
      </c>
      <c r="K18" s="18" t="s">
        <v>66</v>
      </c>
    </row>
    <row r="19" spans="2:13">
      <c r="B19" s="11" t="s">
        <v>15</v>
      </c>
      <c r="C19" s="12">
        <f>(4/3)*PI()*(C17/2)^3</f>
        <v>14.137166941154067</v>
      </c>
      <c r="D19" t="s">
        <v>18</v>
      </c>
    </row>
    <row r="20" spans="2:13" ht="31.5" customHeight="1">
      <c r="B20" s="11" t="s">
        <v>30</v>
      </c>
      <c r="C20" s="12">
        <f>PI()*(C17/2)^2</f>
        <v>7.0685834705770345</v>
      </c>
      <c r="K20" s="31" t="s">
        <v>9</v>
      </c>
      <c r="L20" s="31" t="s">
        <v>64</v>
      </c>
      <c r="M20" s="31" t="s">
        <v>65</v>
      </c>
    </row>
    <row r="21" spans="2:13">
      <c r="B21" s="11" t="s">
        <v>13</v>
      </c>
      <c r="C21" s="2">
        <v>4.0026020000000004</v>
      </c>
      <c r="D21" t="s">
        <v>19</v>
      </c>
      <c r="K21" s="2">
        <f>C6</f>
        <v>50</v>
      </c>
      <c r="L21" s="2">
        <v>65</v>
      </c>
      <c r="M21" s="29">
        <f>(-358.62+SQRT(358.62^2-4*(-11.116*(2.3548-L21/SIN(K21*PI()/180)))))/(2*-11.116)</f>
        <v>0.23170334129577852</v>
      </c>
    </row>
    <row r="22" spans="2:13">
      <c r="B22" s="11" t="s">
        <v>20</v>
      </c>
      <c r="C22" s="14">
        <f>(C23*C21)*C16/1000</f>
        <v>0.30523579120252958</v>
      </c>
      <c r="D22" t="s">
        <v>17</v>
      </c>
      <c r="K22" s="2">
        <f>G6</f>
        <v>20</v>
      </c>
      <c r="L22" s="2">
        <v>400</v>
      </c>
      <c r="M22" s="29">
        <f>(-358.62+SQRT(358.62^2-4*(-11.116*(2.3548-L22/SIN(K22*PI()/180)))))/(2*-11.116)</f>
        <v>3.6727142846232086</v>
      </c>
    </row>
    <row r="23" spans="2:13">
      <c r="B23" s="11" t="s">
        <v>21</v>
      </c>
      <c r="C23" s="14">
        <f>(C15*C19)/(2077*C14)</f>
        <v>2.3712481685089344</v>
      </c>
    </row>
    <row r="24" spans="2:13">
      <c r="B24" s="11" t="s">
        <v>29</v>
      </c>
      <c r="C24" s="26">
        <v>0.47</v>
      </c>
    </row>
    <row r="25" spans="2:13">
      <c r="B25" s="11" t="s">
        <v>39</v>
      </c>
      <c r="C25" s="26">
        <v>1.0999999999999999E-2</v>
      </c>
      <c r="D25" t="s">
        <v>40</v>
      </c>
    </row>
    <row r="27" spans="2:13" ht="21">
      <c r="B27" s="18" t="s">
        <v>5</v>
      </c>
      <c r="F27" s="18" t="s">
        <v>6</v>
      </c>
    </row>
    <row r="28" spans="2:13">
      <c r="B28" s="2" t="s">
        <v>14</v>
      </c>
      <c r="C28" s="12">
        <f>-11.116*(C7)^2+358.62*(C7)+2.3543</f>
        <v>157.99504239999999</v>
      </c>
      <c r="D28" t="s">
        <v>16</v>
      </c>
      <c r="F28" s="2" t="s">
        <v>14</v>
      </c>
      <c r="G28" s="12">
        <f>-11.116*(G7)^2+358.62*(G7)+2.3543</f>
        <v>1021.70879</v>
      </c>
      <c r="H28" t="s">
        <v>16</v>
      </c>
    </row>
    <row r="29" spans="2:13">
      <c r="B29" s="2" t="s">
        <v>32</v>
      </c>
      <c r="C29" s="12">
        <f ca="1">C31*C19*C16</f>
        <v>0.95406801314908862</v>
      </c>
      <c r="D29" t="s">
        <v>41</v>
      </c>
      <c r="F29" s="2" t="s">
        <v>32</v>
      </c>
      <c r="G29" s="12">
        <f ca="1">G31*C19*C16</f>
        <v>0.94752555062354382</v>
      </c>
      <c r="H29" t="s">
        <v>41</v>
      </c>
    </row>
    <row r="30" spans="2:13">
      <c r="B30" s="2" t="s">
        <v>33</v>
      </c>
      <c r="C30" s="16">
        <f>C32+C22+C18</f>
        <v>0.53452976547115683</v>
      </c>
      <c r="D30" t="s">
        <v>41</v>
      </c>
      <c r="F30" s="2" t="s">
        <v>33</v>
      </c>
      <c r="G30" s="16">
        <f>G32+C18+C22</f>
        <v>0.56893712421024345</v>
      </c>
      <c r="H30" t="s">
        <v>41</v>
      </c>
    </row>
    <row r="31" spans="2:13">
      <c r="B31" s="2" t="s">
        <v>34</v>
      </c>
      <c r="C31" s="2">
        <f ca="1">FORECAST(C34, OFFSET(N5:N15,MATCH(C34, M5:M15, 1) -1, 0, 2), OFFSET(M5:M15, MATCH( C34, M5:M15, 1) -1, 0, 2))</f>
        <v>2.0984610328709354E-3</v>
      </c>
      <c r="D31" t="s">
        <v>38</v>
      </c>
      <c r="F31" s="2" t="s">
        <v>34</v>
      </c>
      <c r="G31" s="2">
        <f ca="1">FORECAST(G34, OFFSET(N5:N15,MATCH(G34, M5:M15, 1) -1, 0, 2), OFFSET(M5:M15, MATCH( G34, M5:M15, 1) -1, 0, 2))</f>
        <v>2.0840709658320475E-3</v>
      </c>
      <c r="H31" t="s">
        <v>38</v>
      </c>
    </row>
    <row r="32" spans="2:13">
      <c r="B32" s="2" t="s">
        <v>35</v>
      </c>
      <c r="C32" s="16">
        <f>C28*PI()*(C25/12/2)^2*1.87695*C16</f>
        <v>6.2939742686272488E-3</v>
      </c>
      <c r="D32" t="s">
        <v>41</v>
      </c>
      <c r="F32" s="2" t="s">
        <v>35</v>
      </c>
      <c r="G32" s="16">
        <f>G28*PI()*(C25/12/2)^2*1.87695*C16</f>
        <v>4.0701333007713926E-2</v>
      </c>
      <c r="H32" t="s">
        <v>41</v>
      </c>
    </row>
    <row r="33" spans="2:10">
      <c r="B33" s="2" t="s">
        <v>36</v>
      </c>
      <c r="C33" s="35">
        <f>C28*SIN(RADIANS(C6))</f>
        <v>121.03122427086731</v>
      </c>
      <c r="D33" t="s">
        <v>16</v>
      </c>
      <c r="F33" s="2" t="s">
        <v>36</v>
      </c>
      <c r="G33" s="35">
        <f>G28*SIN(RADIANS(G6))</f>
        <v>349.44498679289558</v>
      </c>
      <c r="H33" t="s">
        <v>16</v>
      </c>
    </row>
    <row r="34" spans="2:10">
      <c r="B34" s="2" t="s">
        <v>37</v>
      </c>
      <c r="C34" s="17">
        <f>C9+C33</f>
        <v>4199.0312242708669</v>
      </c>
      <c r="D34" t="s">
        <v>16</v>
      </c>
      <c r="F34" s="2" t="s">
        <v>37</v>
      </c>
      <c r="G34" s="10">
        <f>G33+C9</f>
        <v>4427.4449867928952</v>
      </c>
      <c r="H34" t="s">
        <v>16</v>
      </c>
    </row>
    <row r="35" spans="2:10">
      <c r="B35" s="2" t="s">
        <v>44</v>
      </c>
      <c r="C35" s="28">
        <f ca="1">SQRT((2*(C29-C30)*(1/(TAN(RADIANS(C6)))))/(C31*C24*C20))</f>
        <v>10.049442369726194</v>
      </c>
      <c r="D35" t="s">
        <v>43</v>
      </c>
      <c r="F35" s="2" t="s">
        <v>44</v>
      </c>
      <c r="G35" s="28">
        <f ca="1">SQRT((2*(G29-G30)*(1/(TAN(RADIANS(G6)))))/(G31*C24*C20))</f>
        <v>17.333822872505117</v>
      </c>
      <c r="H35" t="s">
        <v>43</v>
      </c>
    </row>
    <row r="36" spans="2:10" ht="21">
      <c r="J36" s="18" t="s">
        <v>71</v>
      </c>
    </row>
    <row r="38" spans="2:10" ht="21">
      <c r="B38" s="18" t="s">
        <v>68</v>
      </c>
      <c r="F38" s="18" t="s">
        <v>69</v>
      </c>
    </row>
    <row r="39" spans="2:10">
      <c r="B39" s="2" t="s">
        <v>45</v>
      </c>
      <c r="C39" s="26">
        <v>1.92</v>
      </c>
    </row>
    <row r="40" spans="2:10">
      <c r="B40" s="2" t="s">
        <v>46</v>
      </c>
      <c r="C40" s="26">
        <v>1</v>
      </c>
      <c r="F40" s="2" t="s">
        <v>46</v>
      </c>
      <c r="G40" s="26">
        <v>1</v>
      </c>
    </row>
    <row r="41" spans="2:10">
      <c r="B41" s="2" t="s">
        <v>47</v>
      </c>
      <c r="C41" s="19">
        <f ca="1">(C32)/(2*(C29-C30))</f>
        <v>7.5010732674115604E-3</v>
      </c>
      <c r="F41" s="2" t="s">
        <v>47</v>
      </c>
      <c r="G41" s="19">
        <f ca="1">G32/(2*(G29-G30))</f>
        <v>5.3754064002052689E-2</v>
      </c>
    </row>
    <row r="42" spans="2:10">
      <c r="B42" s="2" t="s">
        <v>48</v>
      </c>
      <c r="C42" s="19">
        <f ca="1">C39*C31*(C25/12/2)*C28*(C35^2)*TAN(RADIANS(C6))*SIN(RADIANS(C6))/(2*(C29-C30))</f>
        <v>3.2058991012447531E-2</v>
      </c>
      <c r="F42" s="2" t="s">
        <v>48</v>
      </c>
      <c r="G42" s="19">
        <f ca="1">C39*G31*(C25/12/2)*G28*(G35^2)*TAN(RADIANS(G6))*SIN(RADIANS(G6))/(2*(G29-G30))</f>
        <v>9.256168198271178E-2</v>
      </c>
    </row>
    <row r="43" spans="2:10">
      <c r="B43" s="2" t="s">
        <v>49</v>
      </c>
      <c r="C43" s="19">
        <f ca="1">C40-C41-C42</f>
        <v>0.96043993572014086</v>
      </c>
      <c r="F43" s="2" t="s">
        <v>49</v>
      </c>
      <c r="G43" s="19">
        <f ca="1">1-G41-G42</f>
        <v>0.85368425401523551</v>
      </c>
    </row>
    <row r="44" spans="2:10">
      <c r="B44" s="2" t="s">
        <v>50</v>
      </c>
      <c r="C44" s="19">
        <f ca="1">SQRT(C43)</f>
        <v>0.98002037515560914</v>
      </c>
      <c r="F44" s="2" t="s">
        <v>50</v>
      </c>
      <c r="G44" s="19">
        <f ca="1">SQRT(G43)</f>
        <v>0.92395035257054559</v>
      </c>
    </row>
    <row r="45" spans="2:10">
      <c r="B45" s="2" t="s">
        <v>51</v>
      </c>
      <c r="C45" s="28">
        <f ca="1">C35*C44</f>
        <v>9.848658281283738</v>
      </c>
      <c r="D45" t="s">
        <v>43</v>
      </c>
      <c r="F45" s="2" t="s">
        <v>51</v>
      </c>
      <c r="G45" s="28">
        <f ca="1">G35*G44</f>
        <v>16.01559175444649</v>
      </c>
      <c r="H45" t="s">
        <v>43</v>
      </c>
    </row>
    <row r="48" spans="2:10" ht="21" customHeight="1">
      <c r="B48" s="24" t="s">
        <v>67</v>
      </c>
    </row>
    <row r="49" spans="2:13" ht="15" customHeight="1">
      <c r="B49" s="24"/>
    </row>
    <row r="50" spans="2:13" ht="21">
      <c r="B50" s="18" t="s">
        <v>52</v>
      </c>
      <c r="F50" s="18" t="s">
        <v>53</v>
      </c>
    </row>
    <row r="51" spans="2:13">
      <c r="B51" s="2" t="s">
        <v>56</v>
      </c>
      <c r="C51" s="12">
        <f ca="1">C45</f>
        <v>9.848658281283738</v>
      </c>
      <c r="D51" t="s">
        <v>43</v>
      </c>
      <c r="F51" s="2" t="s">
        <v>56</v>
      </c>
      <c r="G51" s="12">
        <f ca="1">G45</f>
        <v>16.01559175444649</v>
      </c>
      <c r="H51" t="s">
        <v>43</v>
      </c>
    </row>
    <row r="52" spans="2:13">
      <c r="B52" s="2" t="s">
        <v>1</v>
      </c>
      <c r="C52" s="2">
        <f>C5</f>
        <v>40</v>
      </c>
      <c r="D52" t="s">
        <v>3</v>
      </c>
      <c r="F52" s="2" t="s">
        <v>1</v>
      </c>
      <c r="G52" s="2">
        <f>G5</f>
        <v>30</v>
      </c>
      <c r="H52" t="s">
        <v>3</v>
      </c>
    </row>
    <row r="53" spans="2:13">
      <c r="B53" s="2" t="s">
        <v>70</v>
      </c>
      <c r="C53" s="35">
        <f>C33</f>
        <v>121.03122427086731</v>
      </c>
      <c r="D53" t="s">
        <v>16</v>
      </c>
      <c r="F53" s="2" t="s">
        <v>57</v>
      </c>
      <c r="G53" s="35">
        <f>G33</f>
        <v>349.44498679289558</v>
      </c>
      <c r="H53" t="s">
        <v>16</v>
      </c>
    </row>
    <row r="55" spans="2:13" ht="63">
      <c r="B55" s="32" t="s">
        <v>62</v>
      </c>
    </row>
    <row r="56" spans="2:13">
      <c r="B56" s="2" t="s">
        <v>58</v>
      </c>
      <c r="C56" s="28">
        <f ca="1">C51*COS(RADIANS(C52))</f>
        <v>7.5445099485551124</v>
      </c>
      <c r="D56" s="2" t="s">
        <v>54</v>
      </c>
      <c r="E56" s="28">
        <f ca="1">C51*SIN(RADIANS(C52))</f>
        <v>6.3305955152459141</v>
      </c>
      <c r="F56" s="2" t="s">
        <v>55</v>
      </c>
      <c r="G56" s="25" t="s">
        <v>80</v>
      </c>
      <c r="H56" s="13"/>
    </row>
    <row r="57" spans="2:13">
      <c r="B57" s="2" t="s">
        <v>59</v>
      </c>
      <c r="C57" s="28">
        <f ca="1">G51*COS(RADIANS(G52))</f>
        <v>13.869909315991249</v>
      </c>
      <c r="D57" s="2" t="s">
        <v>54</v>
      </c>
      <c r="E57" s="29">
        <f ca="1">G51*SIN(RADIANS(G52))</f>
        <v>8.0077958772232432</v>
      </c>
      <c r="F57" s="2" t="s">
        <v>55</v>
      </c>
      <c r="G57" s="25" t="s">
        <v>80</v>
      </c>
      <c r="H57" s="13"/>
    </row>
    <row r="58" spans="2:13">
      <c r="B58" s="13"/>
      <c r="C58" s="20"/>
      <c r="D58" s="13"/>
      <c r="E58" s="13"/>
      <c r="F58" s="13"/>
      <c r="H58" s="13"/>
    </row>
    <row r="62" spans="2:13" ht="21">
      <c r="K62" s="18" t="s">
        <v>72</v>
      </c>
    </row>
    <row r="64" spans="2:13">
      <c r="K64" s="38" t="s">
        <v>63</v>
      </c>
      <c r="L64" s="38" t="s">
        <v>79</v>
      </c>
      <c r="M64" s="38" t="s">
        <v>78</v>
      </c>
    </row>
    <row r="65" spans="11:15">
      <c r="K65">
        <v>0</v>
      </c>
      <c r="L65">
        <v>0</v>
      </c>
      <c r="M65">
        <v>0</v>
      </c>
    </row>
    <row r="66" spans="11:15">
      <c r="K66" s="30">
        <f>C53</f>
        <v>121.03122427086731</v>
      </c>
      <c r="L66" s="8">
        <f ca="1">C56</f>
        <v>7.5445099485551124</v>
      </c>
      <c r="M66" s="8">
        <f ca="1">E56</f>
        <v>6.3305955152459141</v>
      </c>
    </row>
    <row r="67" spans="11:15">
      <c r="K67" s="30">
        <f>G53</f>
        <v>349.44498679289558</v>
      </c>
      <c r="L67" s="8">
        <f ca="1">C57</f>
        <v>13.869909315991249</v>
      </c>
      <c r="M67">
        <f ca="1">E57</f>
        <v>8.0077958772232432</v>
      </c>
    </row>
    <row r="68" spans="11:15">
      <c r="K68">
        <f>K84</f>
        <v>18000</v>
      </c>
      <c r="L68" s="8">
        <f t="shared" ref="L68:M70" si="0">P84</f>
        <v>31.112684230072471</v>
      </c>
      <c r="M68">
        <f t="shared" si="0"/>
        <v>31.112684230072464</v>
      </c>
    </row>
    <row r="69" spans="11:15">
      <c r="K69">
        <f>K85</f>
        <v>24000</v>
      </c>
      <c r="L69" s="8">
        <f t="shared" si="0"/>
        <v>41.483578973429957</v>
      </c>
      <c r="M69">
        <f t="shared" si="0"/>
        <v>41.483578973429957</v>
      </c>
    </row>
    <row r="70" spans="11:15">
      <c r="K70">
        <f>K86</f>
        <v>30000</v>
      </c>
      <c r="L70" s="8">
        <f t="shared" si="0"/>
        <v>25.081465776544274</v>
      </c>
      <c r="M70">
        <f t="shared" si="0"/>
        <v>68.910760867879262</v>
      </c>
    </row>
    <row r="76" spans="11:15">
      <c r="O76" s="36"/>
    </row>
    <row r="81" spans="11:17" ht="21">
      <c r="K81" s="18" t="s">
        <v>82</v>
      </c>
    </row>
    <row r="83" spans="11:17" ht="30">
      <c r="K83" s="31" t="s">
        <v>73</v>
      </c>
      <c r="L83" s="31" t="s">
        <v>63</v>
      </c>
      <c r="M83" s="31" t="s">
        <v>81</v>
      </c>
      <c r="N83" s="31" t="s">
        <v>74</v>
      </c>
      <c r="O83" s="31" t="s">
        <v>75</v>
      </c>
      <c r="P83" s="31" t="s">
        <v>76</v>
      </c>
      <c r="Q83" s="31" t="s">
        <v>77</v>
      </c>
    </row>
    <row r="84" spans="11:17">
      <c r="K84" s="26">
        <v>18000</v>
      </c>
      <c r="L84" s="37">
        <f>K84-C9</f>
        <v>13922</v>
      </c>
      <c r="M84" s="26">
        <v>30</v>
      </c>
      <c r="N84" s="2">
        <f>1.466666*M84</f>
        <v>43.999980000000001</v>
      </c>
      <c r="O84" s="26">
        <v>45</v>
      </c>
      <c r="P84" s="29">
        <f>N84*COS(RADIANS(O84))</f>
        <v>31.112684230072471</v>
      </c>
      <c r="Q84" s="29">
        <f>N84*SIN(RADIANS(O84))</f>
        <v>31.112684230072464</v>
      </c>
    </row>
    <row r="85" spans="11:17">
      <c r="K85" s="26">
        <v>24000</v>
      </c>
      <c r="L85" s="37">
        <f>K85-C9</f>
        <v>19922</v>
      </c>
      <c r="M85" s="26">
        <v>40</v>
      </c>
      <c r="N85" s="2">
        <f>1.466666*M85</f>
        <v>58.666640000000001</v>
      </c>
      <c r="O85" s="26">
        <v>45</v>
      </c>
      <c r="P85" s="29">
        <f>N85*COS(RADIANS(O85))</f>
        <v>41.483578973429957</v>
      </c>
      <c r="Q85" s="29">
        <f>N85*SIN(RADIANS(O85))</f>
        <v>41.483578973429957</v>
      </c>
    </row>
    <row r="86" spans="11:17">
      <c r="K86" s="26">
        <v>30000</v>
      </c>
      <c r="L86" s="37">
        <f>K86-C9</f>
        <v>25922</v>
      </c>
      <c r="M86" s="26">
        <v>50</v>
      </c>
      <c r="N86" s="2">
        <f>1.466666*M86</f>
        <v>73.333300000000008</v>
      </c>
      <c r="O86" s="26">
        <v>70</v>
      </c>
      <c r="P86" s="29">
        <f>N86*COS(RADIANS(O86))</f>
        <v>25.081465776544274</v>
      </c>
      <c r="Q86" s="29">
        <f>N86*SIN(RADIANS(O86))</f>
        <v>68.910760867879262</v>
      </c>
    </row>
  </sheetData>
  <phoneticPr fontId="8" type="noConversion"/>
  <pageMargins left="0.7" right="0.7" top="0.75" bottom="0.75" header="0.3" footer="0.3"/>
  <pageSetup orientation="portrait" horizontalDpi="4294967293" verticalDpi="0" r:id="rId1"/>
  <drawing r:id="rId2"/>
  <legacyDrawing r:id="rId3"/>
  <oleObjects>
    <oleObject progId="Equation.3" shapeId="1025" r:id="rId4"/>
    <oleObject progId="Equation.3" shapeId="1026" r:id="rId5"/>
    <oleObject progId="Equation.3" shapeId="1027" r:id="rId6"/>
    <oleObject progId="Equation.3" shapeId="1028" r:id="rId7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Elvy</dc:creator>
  <cp:lastModifiedBy>Owner</cp:lastModifiedBy>
  <dcterms:created xsi:type="dcterms:W3CDTF">2013-06-07T00:30:12Z</dcterms:created>
  <dcterms:modified xsi:type="dcterms:W3CDTF">2013-06-30T22:30:05Z</dcterms:modified>
</cp:coreProperties>
</file>